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ssos\Desktop\"/>
    </mc:Choice>
  </mc:AlternateContent>
  <bookViews>
    <workbookView xWindow="0" yWindow="0" windowWidth="20490" windowHeight="7155" activeTab="1"/>
  </bookViews>
  <sheets>
    <sheet name="Askisi_1" sheetId="1" r:id="rId1"/>
    <sheet name="Askisi_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39" i="2"/>
  <c r="B39" i="2"/>
  <c r="C38" i="2"/>
  <c r="B38" i="2"/>
  <c r="C37" i="2"/>
  <c r="B37" i="2"/>
  <c r="C17" i="2"/>
  <c r="B17" i="2"/>
  <c r="C31" i="2"/>
  <c r="B31" i="2"/>
  <c r="C12" i="2"/>
  <c r="B12" i="2"/>
  <c r="C9" i="2"/>
  <c r="B9" i="2"/>
  <c r="C30" i="2"/>
  <c r="C32" i="2" s="1"/>
  <c r="C34" i="2" s="1"/>
  <c r="C35" i="2" s="1"/>
  <c r="B30" i="2"/>
  <c r="C29" i="2"/>
  <c r="B29" i="2"/>
  <c r="C28" i="2"/>
  <c r="B28" i="2"/>
  <c r="C24" i="2"/>
  <c r="B24" i="2"/>
  <c r="C27" i="2"/>
  <c r="B27" i="2"/>
  <c r="C13" i="2"/>
  <c r="B21" i="2"/>
  <c r="B13" i="2" s="1"/>
  <c r="C15" i="2"/>
  <c r="C16" i="2" s="1"/>
  <c r="B15" i="2"/>
  <c r="B16" i="2" s="1"/>
  <c r="B32" i="2" l="1"/>
  <c r="B34" i="2" s="1"/>
  <c r="B35" i="2" s="1"/>
  <c r="L15" i="1"/>
  <c r="L14" i="1"/>
  <c r="I14" i="1"/>
  <c r="I13" i="1"/>
  <c r="I12" i="1"/>
  <c r="I11" i="1"/>
  <c r="F14" i="1"/>
  <c r="F13" i="1"/>
  <c r="F12" i="1"/>
  <c r="F11" i="1"/>
  <c r="B20" i="1"/>
  <c r="B19" i="1"/>
  <c r="F6" i="1"/>
  <c r="B18" i="1"/>
  <c r="F9" i="1"/>
  <c r="F8" i="1"/>
  <c r="F7" i="1"/>
  <c r="B7" i="1"/>
  <c r="B5" i="1"/>
</calcChain>
</file>

<file path=xl/sharedStrings.xml><?xml version="1.0" encoding="utf-8"?>
<sst xmlns="http://schemas.openxmlformats.org/spreadsheetml/2006/main" count="134" uniqueCount="86">
  <si>
    <t>bore</t>
  </si>
  <si>
    <t>stroke</t>
  </si>
  <si>
    <t>mm</t>
  </si>
  <si>
    <t>conn_rod</t>
  </si>
  <si>
    <t>m_rod</t>
  </si>
  <si>
    <t>m_pist</t>
  </si>
  <si>
    <t>kg</t>
  </si>
  <si>
    <t>ratio</t>
  </si>
  <si>
    <t>N</t>
  </si>
  <si>
    <t>rpm</t>
  </si>
  <si>
    <t>theta</t>
  </si>
  <si>
    <t>deg</t>
  </si>
  <si>
    <t>p_cyl</t>
  </si>
  <si>
    <t>bar</t>
  </si>
  <si>
    <t>d_komvio</t>
  </si>
  <si>
    <t>b_komvio</t>
  </si>
  <si>
    <t>d_bearing</t>
  </si>
  <si>
    <t>b_bearing</t>
  </si>
  <si>
    <t>x</t>
  </si>
  <si>
    <t>m_waage</t>
  </si>
  <si>
    <t>m_crank</t>
  </si>
  <si>
    <t>r</t>
  </si>
  <si>
    <t>s_kolbe</t>
  </si>
  <si>
    <t>c_kolbe</t>
  </si>
  <si>
    <t>a_kolbe</t>
  </si>
  <si>
    <t>lambda</t>
  </si>
  <si>
    <t>cosb</t>
  </si>
  <si>
    <t>beta</t>
  </si>
  <si>
    <t>omega</t>
  </si>
  <si>
    <t>m/s</t>
  </si>
  <si>
    <t>m/s2</t>
  </si>
  <si>
    <t>Fgas</t>
  </si>
  <si>
    <t>Fos</t>
  </si>
  <si>
    <t>Fr_rod</t>
  </si>
  <si>
    <t>Fr</t>
  </si>
  <si>
    <t>F_vert</t>
  </si>
  <si>
    <t>S</t>
  </si>
  <si>
    <t>p_komvio</t>
  </si>
  <si>
    <t>N/mm2</t>
  </si>
  <si>
    <t>F_r_rod</t>
  </si>
  <si>
    <t>F_sum</t>
  </si>
  <si>
    <t>p_bearing</t>
  </si>
  <si>
    <t>Hu</t>
  </si>
  <si>
    <t>MJ/kg</t>
  </si>
  <si>
    <t>kg/m3</t>
  </si>
  <si>
    <t>rho</t>
  </si>
  <si>
    <t>eta_vol</t>
  </si>
  <si>
    <t>fmep</t>
  </si>
  <si>
    <t>Sp</t>
  </si>
  <si>
    <t>n_mech</t>
  </si>
  <si>
    <t>n_sT</t>
  </si>
  <si>
    <t>n_sV</t>
  </si>
  <si>
    <t>p_t_out</t>
  </si>
  <si>
    <t>p_turbo_in</t>
  </si>
  <si>
    <t>T_in</t>
  </si>
  <si>
    <t>C</t>
  </si>
  <si>
    <t>k</t>
  </si>
  <si>
    <t>T_out_s</t>
  </si>
  <si>
    <t>T_out</t>
  </si>
  <si>
    <t>W_tur</t>
  </si>
  <si>
    <t>W_comp</t>
  </si>
  <si>
    <t>cp</t>
  </si>
  <si>
    <t>m_air</t>
  </si>
  <si>
    <t>m_exh</t>
  </si>
  <si>
    <t>L_min</t>
  </si>
  <si>
    <t>bsfc</t>
  </si>
  <si>
    <t>g/kWh</t>
  </si>
  <si>
    <t>P</t>
  </si>
  <si>
    <t>bmep</t>
  </si>
  <si>
    <t>T</t>
  </si>
  <si>
    <t>Vd</t>
  </si>
  <si>
    <t>Nm</t>
  </si>
  <si>
    <t>W</t>
  </si>
  <si>
    <t>m_fuel</t>
  </si>
  <si>
    <t>kg/h</t>
  </si>
  <si>
    <t>kg/s</t>
  </si>
  <si>
    <t>kW</t>
  </si>
  <si>
    <t>DT_comp</t>
  </si>
  <si>
    <t>K</t>
  </si>
  <si>
    <t>T_out_comp</t>
  </si>
  <si>
    <t>T_in_comp</t>
  </si>
  <si>
    <t>T_friction</t>
  </si>
  <si>
    <t>P_friction</t>
  </si>
  <si>
    <t>P_exh</t>
  </si>
  <si>
    <t>P_fuel</t>
  </si>
  <si>
    <t>P_cooling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</si>
</sst>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1" fontId="1" fillId="0" borderId="0" xfId="0" applyNumberFormat="1" applyFont="1"/>
    <xf numFmtId="2" fontId="0" fillId="0" borderId="0" xfId="0" applyNumberFormat="1"/>
    <xf numFmtId="1" fontId="0" fillId="2" borderId="0" xfId="0" applyNumberFormat="1" applyFill="1"/>
    <xf numFmtId="11" fontId="0" fillId="0" borderId="0" xfId="0" applyNumberFormat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D17" sqref="D17"/>
    </sheetView>
  </sheetViews>
  <sheetFormatPr defaultRowHeight="15" x14ac:dyDescent="0.25"/>
  <sheetData>
    <row r="1" spans="1:13" x14ac:dyDescent="0.25">
      <c r="A1" t="s">
        <v>0</v>
      </c>
      <c r="B1" s="1">
        <v>86</v>
      </c>
      <c r="C1" t="s">
        <v>2</v>
      </c>
    </row>
    <row r="2" spans="1:13" x14ac:dyDescent="0.25">
      <c r="A2" t="s">
        <v>1</v>
      </c>
      <c r="B2">
        <v>70</v>
      </c>
      <c r="C2" t="s">
        <v>2</v>
      </c>
    </row>
    <row r="3" spans="1:13" x14ac:dyDescent="0.25">
      <c r="A3" t="s">
        <v>3</v>
      </c>
      <c r="B3" s="1">
        <v>120</v>
      </c>
      <c r="C3" t="s">
        <v>2</v>
      </c>
    </row>
    <row r="4" spans="1:13" x14ac:dyDescent="0.25">
      <c r="A4" t="s">
        <v>4</v>
      </c>
      <c r="B4">
        <v>0.9</v>
      </c>
      <c r="C4" t="s">
        <v>6</v>
      </c>
    </row>
    <row r="5" spans="1:13" x14ac:dyDescent="0.25">
      <c r="A5" t="s">
        <v>7</v>
      </c>
      <c r="B5">
        <f>1/3</f>
        <v>0.33333333333333331</v>
      </c>
    </row>
    <row r="6" spans="1:13" x14ac:dyDescent="0.25">
      <c r="A6" t="s">
        <v>5</v>
      </c>
      <c r="B6">
        <v>0.6</v>
      </c>
      <c r="C6" t="s">
        <v>6</v>
      </c>
      <c r="E6" t="s">
        <v>28</v>
      </c>
      <c r="F6">
        <f>2*PI()*B8/60</f>
        <v>418.87902047863906</v>
      </c>
    </row>
    <row r="7" spans="1:13" x14ac:dyDescent="0.25">
      <c r="A7" t="s">
        <v>21</v>
      </c>
      <c r="B7">
        <f>B2/2</f>
        <v>35</v>
      </c>
      <c r="C7" t="s">
        <v>2</v>
      </c>
      <c r="E7" t="s">
        <v>25</v>
      </c>
      <c r="F7">
        <f>B7/B3</f>
        <v>0.29166666666666669</v>
      </c>
    </row>
    <row r="8" spans="1:13" x14ac:dyDescent="0.25">
      <c r="A8" t="s">
        <v>8</v>
      </c>
      <c r="B8">
        <v>4000</v>
      </c>
      <c r="C8" t="s">
        <v>9</v>
      </c>
      <c r="E8" t="s">
        <v>26</v>
      </c>
      <c r="F8">
        <f>SQRT(1-(F7^2*(SIN(RADIANS(B9)))^2))</f>
        <v>0.98930917254864714</v>
      </c>
    </row>
    <row r="9" spans="1:13" x14ac:dyDescent="0.25">
      <c r="A9" t="s">
        <v>10</v>
      </c>
      <c r="B9">
        <v>30</v>
      </c>
      <c r="C9" t="s">
        <v>11</v>
      </c>
      <c r="E9" t="s">
        <v>27</v>
      </c>
      <c r="F9">
        <f>ACOS(F8)*180/PI()</f>
        <v>8.3855386470813205</v>
      </c>
      <c r="G9" t="s">
        <v>11</v>
      </c>
    </row>
    <row r="10" spans="1:13" x14ac:dyDescent="0.25">
      <c r="A10" t="s">
        <v>12</v>
      </c>
      <c r="B10">
        <v>18</v>
      </c>
      <c r="C10" t="s">
        <v>13</v>
      </c>
    </row>
    <row r="11" spans="1:13" x14ac:dyDescent="0.25">
      <c r="A11" t="s">
        <v>14</v>
      </c>
      <c r="B11">
        <v>15</v>
      </c>
      <c r="C11" t="s">
        <v>2</v>
      </c>
      <c r="E11" t="s">
        <v>31</v>
      </c>
      <c r="F11" s="4">
        <f>(B10-1)*PI()*(B1/1000)^2/4*100000</f>
        <v>9874.9681880287953</v>
      </c>
      <c r="G11" t="s">
        <v>8</v>
      </c>
      <c r="H11" t="s">
        <v>35</v>
      </c>
      <c r="I11" s="4">
        <f>F11+F12</f>
        <v>4282.4467387513587</v>
      </c>
      <c r="J11" t="s">
        <v>8</v>
      </c>
    </row>
    <row r="12" spans="1:13" x14ac:dyDescent="0.25">
      <c r="A12" t="s">
        <v>15</v>
      </c>
      <c r="B12">
        <v>20</v>
      </c>
      <c r="C12" t="s">
        <v>2</v>
      </c>
      <c r="E12" t="s">
        <v>32</v>
      </c>
      <c r="F12" s="4">
        <f>-(B6+B4*B5)*B20</f>
        <v>-5592.5214492774367</v>
      </c>
      <c r="G12" t="s">
        <v>8</v>
      </c>
      <c r="H12" t="s">
        <v>36</v>
      </c>
      <c r="I12" s="4">
        <f>I11/F8</f>
        <v>4328.7243842275993</v>
      </c>
      <c r="J12" t="s">
        <v>8</v>
      </c>
    </row>
    <row r="13" spans="1:13" x14ac:dyDescent="0.25">
      <c r="A13" t="s">
        <v>16</v>
      </c>
      <c r="B13">
        <v>50</v>
      </c>
      <c r="C13" t="s">
        <v>2</v>
      </c>
      <c r="E13" t="s">
        <v>33</v>
      </c>
      <c r="F13" s="4">
        <f>(B4*(1-B5))*F6^2*B7/1000</f>
        <v>3684.6523097400263</v>
      </c>
      <c r="G13" t="s">
        <v>8</v>
      </c>
      <c r="H13" s="2" t="s">
        <v>37</v>
      </c>
      <c r="I13" s="3">
        <f>I12/(B11*B12)</f>
        <v>14.429081280758664</v>
      </c>
      <c r="J13" s="2" t="s">
        <v>38</v>
      </c>
    </row>
    <row r="14" spans="1:13" x14ac:dyDescent="0.25">
      <c r="A14" t="s">
        <v>17</v>
      </c>
      <c r="B14">
        <v>25</v>
      </c>
      <c r="C14" t="s">
        <v>2</v>
      </c>
      <c r="E14" t="s">
        <v>34</v>
      </c>
      <c r="F14" s="4">
        <f>(B15+B4*(1-B5)+2*B16*B17/B7)*F6^2*B7/1000</f>
        <v>13071.742717887239</v>
      </c>
      <c r="G14" t="s">
        <v>8</v>
      </c>
      <c r="H14" t="s">
        <v>39</v>
      </c>
      <c r="I14" s="4">
        <f>I12*COS(RADIANS(B9+F9))</f>
        <v>3393.071513095902</v>
      </c>
      <c r="J14" t="s">
        <v>8</v>
      </c>
      <c r="K14" t="s">
        <v>40</v>
      </c>
      <c r="L14" s="4">
        <f>F14-I14</f>
        <v>9678.671204791337</v>
      </c>
      <c r="M14" t="s">
        <v>8</v>
      </c>
    </row>
    <row r="15" spans="1:13" x14ac:dyDescent="0.25">
      <c r="A15" t="s">
        <v>20</v>
      </c>
      <c r="B15">
        <v>0.5</v>
      </c>
      <c r="C15" t="s">
        <v>6</v>
      </c>
      <c r="K15" s="2" t="s">
        <v>41</v>
      </c>
      <c r="L15" s="3">
        <f>L14/2/(B13*B14)</f>
        <v>3.8714684819165348</v>
      </c>
      <c r="M15" s="2" t="s">
        <v>38</v>
      </c>
    </row>
    <row r="16" spans="1:13" x14ac:dyDescent="0.25">
      <c r="A16" t="s">
        <v>19</v>
      </c>
      <c r="B16">
        <v>1.2</v>
      </c>
      <c r="C16" t="s">
        <v>6</v>
      </c>
    </row>
    <row r="17" spans="1:3" x14ac:dyDescent="0.25">
      <c r="A17" t="s">
        <v>18</v>
      </c>
      <c r="B17">
        <v>15</v>
      </c>
      <c r="C17" t="s">
        <v>2</v>
      </c>
    </row>
    <row r="18" spans="1:3" x14ac:dyDescent="0.25">
      <c r="A18" s="2" t="s">
        <v>22</v>
      </c>
      <c r="B18" s="3">
        <f>B7*(1-COS(RADIANS(B9))+F7/2*SIN(RADIANS(B9))^2)</f>
        <v>5.9651525342113114</v>
      </c>
      <c r="C18" s="2" t="s">
        <v>2</v>
      </c>
    </row>
    <row r="19" spans="1:3" x14ac:dyDescent="0.25">
      <c r="A19" s="2" t="s">
        <v>23</v>
      </c>
      <c r="B19" s="3">
        <f>F6*B7*(SIN(RADIANS(B9))+F7/2*SIN(2*RADIANS(B9)))/1000</f>
        <v>9.1819697093652799</v>
      </c>
      <c r="C19" s="2" t="s">
        <v>29</v>
      </c>
    </row>
    <row r="20" spans="1:3" x14ac:dyDescent="0.25">
      <c r="A20" s="2" t="s">
        <v>24</v>
      </c>
      <c r="B20" s="2">
        <f>F6^2*B7*(COS(RADIANS(B9))+F7*COS(2*RADIANS(B9)))/1000</f>
        <v>6213.912721419375</v>
      </c>
      <c r="C20" s="2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8" workbookViewId="0">
      <selection activeCell="E43" sqref="E43"/>
    </sheetView>
  </sheetViews>
  <sheetFormatPr defaultRowHeight="15" x14ac:dyDescent="0.25"/>
  <cols>
    <col min="2" max="2" width="10" bestFit="1" customWidth="1"/>
  </cols>
  <sheetData>
    <row r="1" spans="1:4" x14ac:dyDescent="0.25">
      <c r="A1" t="s">
        <v>0</v>
      </c>
      <c r="B1" s="1">
        <v>82</v>
      </c>
      <c r="C1" t="s">
        <v>2</v>
      </c>
    </row>
    <row r="2" spans="1:4" x14ac:dyDescent="0.25">
      <c r="A2" t="s">
        <v>1</v>
      </c>
      <c r="B2">
        <v>90.4</v>
      </c>
      <c r="C2" t="s">
        <v>2</v>
      </c>
    </row>
    <row r="3" spans="1:4" x14ac:dyDescent="0.25">
      <c r="A3" t="s">
        <v>3</v>
      </c>
      <c r="B3" s="1">
        <v>145</v>
      </c>
      <c r="C3" t="s">
        <v>2</v>
      </c>
    </row>
    <row r="4" spans="1:4" x14ac:dyDescent="0.25">
      <c r="A4" t="s">
        <v>42</v>
      </c>
      <c r="B4">
        <v>43</v>
      </c>
      <c r="C4" t="s">
        <v>43</v>
      </c>
    </row>
    <row r="5" spans="1:4" x14ac:dyDescent="0.25">
      <c r="A5" t="s">
        <v>45</v>
      </c>
      <c r="B5" s="5">
        <v>825</v>
      </c>
      <c r="C5" t="s">
        <v>44</v>
      </c>
    </row>
    <row r="6" spans="1:4" x14ac:dyDescent="0.25">
      <c r="A6" t="s">
        <v>46</v>
      </c>
      <c r="B6">
        <v>0.9</v>
      </c>
    </row>
    <row r="7" spans="1:4" x14ac:dyDescent="0.25">
      <c r="A7" t="s">
        <v>8</v>
      </c>
      <c r="B7">
        <v>2000</v>
      </c>
      <c r="C7">
        <v>4500</v>
      </c>
      <c r="D7" t="s">
        <v>9</v>
      </c>
    </row>
    <row r="8" spans="1:4" x14ac:dyDescent="0.25">
      <c r="A8" t="s">
        <v>54</v>
      </c>
      <c r="B8">
        <v>622</v>
      </c>
      <c r="C8">
        <v>708</v>
      </c>
      <c r="D8" t="s">
        <v>55</v>
      </c>
    </row>
    <row r="9" spans="1:4" x14ac:dyDescent="0.25">
      <c r="B9">
        <f>B8+273</f>
        <v>895</v>
      </c>
      <c r="C9">
        <f>C8+273</f>
        <v>981</v>
      </c>
      <c r="D9" t="s">
        <v>78</v>
      </c>
    </row>
    <row r="10" spans="1:4" x14ac:dyDescent="0.25">
      <c r="A10" t="s">
        <v>53</v>
      </c>
      <c r="B10">
        <v>1.5</v>
      </c>
      <c r="C10">
        <v>1.9</v>
      </c>
      <c r="D10" t="s">
        <v>13</v>
      </c>
    </row>
    <row r="11" spans="1:4" x14ac:dyDescent="0.25">
      <c r="A11" t="s">
        <v>52</v>
      </c>
      <c r="B11">
        <v>1</v>
      </c>
      <c r="C11">
        <v>1</v>
      </c>
      <c r="D11" t="s">
        <v>13</v>
      </c>
    </row>
    <row r="12" spans="1:4" x14ac:dyDescent="0.25">
      <c r="A12" t="s">
        <v>57</v>
      </c>
      <c r="B12" s="6">
        <f>B9*(B11/B10)^((B21-1)/B21)</f>
        <v>797.097132912809</v>
      </c>
      <c r="C12" s="6">
        <f>C9*(C11/C10)^((C21-1)/C21)</f>
        <v>816.62960723466313</v>
      </c>
      <c r="D12" t="s">
        <v>78</v>
      </c>
    </row>
    <row r="13" spans="1:4" x14ac:dyDescent="0.25">
      <c r="A13" s="2" t="s">
        <v>58</v>
      </c>
      <c r="B13" s="7">
        <f>B8+(B12-B8)*B19</f>
        <v>744.56799303896628</v>
      </c>
      <c r="C13" s="7">
        <f>C8+(C12-C8)*C19</f>
        <v>784.04072506426417</v>
      </c>
      <c r="D13" s="2" t="s">
        <v>78</v>
      </c>
    </row>
    <row r="14" spans="1:4" x14ac:dyDescent="0.25">
      <c r="A14" t="s">
        <v>25</v>
      </c>
      <c r="B14">
        <v>1.24</v>
      </c>
      <c r="C14">
        <v>1.18</v>
      </c>
    </row>
    <row r="15" spans="1:4" x14ac:dyDescent="0.25">
      <c r="A15" t="s">
        <v>48</v>
      </c>
      <c r="B15" s="4">
        <f>2*B2*B7/60/1000</f>
        <v>6.0266666666666673</v>
      </c>
      <c r="C15">
        <f>2*B2*C7/60/1000</f>
        <v>13.56</v>
      </c>
      <c r="D15" t="s">
        <v>29</v>
      </c>
    </row>
    <row r="16" spans="1:4" x14ac:dyDescent="0.25">
      <c r="A16" t="s">
        <v>47</v>
      </c>
      <c r="B16">
        <f>0.45+0.15*B15</f>
        <v>1.3540000000000001</v>
      </c>
      <c r="C16">
        <f>0.45+0.15*C15</f>
        <v>2.484</v>
      </c>
      <c r="D16" t="s">
        <v>13</v>
      </c>
    </row>
    <row r="17" spans="1:4" x14ac:dyDescent="0.25">
      <c r="A17" t="s">
        <v>81</v>
      </c>
      <c r="B17" s="4">
        <f>B16*100000*B25/(4*PI())</f>
        <v>20.472100329910496</v>
      </c>
      <c r="C17" s="4">
        <f>C16*100000*C25/(4*PI())</f>
        <v>37.557383470825464</v>
      </c>
      <c r="D17" t="s">
        <v>71</v>
      </c>
    </row>
    <row r="18" spans="1:4" x14ac:dyDescent="0.25">
      <c r="A18" t="s">
        <v>49</v>
      </c>
      <c r="B18">
        <v>0.95</v>
      </c>
      <c r="C18">
        <v>0.95</v>
      </c>
    </row>
    <row r="19" spans="1:4" x14ac:dyDescent="0.25">
      <c r="A19" t="s">
        <v>50</v>
      </c>
      <c r="B19">
        <v>0.7</v>
      </c>
      <c r="C19">
        <v>0.7</v>
      </c>
    </row>
    <row r="20" spans="1:4" x14ac:dyDescent="0.25">
      <c r="A20" t="s">
        <v>51</v>
      </c>
      <c r="B20">
        <v>0.75</v>
      </c>
      <c r="C20">
        <v>0.75</v>
      </c>
    </row>
    <row r="21" spans="1:4" x14ac:dyDescent="0.25">
      <c r="A21" t="s">
        <v>56</v>
      </c>
      <c r="B21">
        <f>1.4</f>
        <v>1.4</v>
      </c>
      <c r="C21">
        <v>1.4</v>
      </c>
    </row>
    <row r="22" spans="1:4" x14ac:dyDescent="0.25">
      <c r="A22" t="s">
        <v>61</v>
      </c>
      <c r="B22">
        <v>1</v>
      </c>
      <c r="C22">
        <v>1</v>
      </c>
    </row>
    <row r="23" spans="1:4" x14ac:dyDescent="0.25">
      <c r="A23" t="s">
        <v>65</v>
      </c>
      <c r="B23">
        <v>198</v>
      </c>
      <c r="C23">
        <v>230</v>
      </c>
      <c r="D23" t="s">
        <v>66</v>
      </c>
    </row>
    <row r="24" spans="1:4" x14ac:dyDescent="0.25">
      <c r="A24" s="2" t="s">
        <v>67</v>
      </c>
      <c r="B24" s="2">
        <f>2*PI()*B7/60*B27</f>
        <v>47500</v>
      </c>
      <c r="C24" s="2">
        <f>2*PI()*C7/60*C27</f>
        <v>71250</v>
      </c>
      <c r="D24" s="2" t="s">
        <v>72</v>
      </c>
    </row>
    <row r="25" spans="1:4" x14ac:dyDescent="0.25">
      <c r="A25" t="s">
        <v>70</v>
      </c>
      <c r="B25" s="8">
        <v>1.9E-3</v>
      </c>
      <c r="C25" s="8">
        <v>1.9E-3</v>
      </c>
    </row>
    <row r="26" spans="1:4" x14ac:dyDescent="0.25">
      <c r="A26" t="s">
        <v>68</v>
      </c>
      <c r="B26">
        <v>15</v>
      </c>
      <c r="C26">
        <v>10</v>
      </c>
      <c r="D26" t="s">
        <v>13</v>
      </c>
    </row>
    <row r="27" spans="1:4" x14ac:dyDescent="0.25">
      <c r="A27" t="s">
        <v>69</v>
      </c>
      <c r="B27" s="4">
        <f>B26*100000*B25/(4*PI())</f>
        <v>226.79579390595086</v>
      </c>
      <c r="C27" s="4">
        <f>C26*100000*C25/(4*PI())</f>
        <v>151.19719593730056</v>
      </c>
      <c r="D27" t="s">
        <v>71</v>
      </c>
    </row>
    <row r="28" spans="1:4" x14ac:dyDescent="0.25">
      <c r="A28" t="s">
        <v>73</v>
      </c>
      <c r="B28" s="4">
        <f>B23*B24/1000000</f>
        <v>9.4049999999999994</v>
      </c>
      <c r="C28" s="4">
        <f>C23*C24/1000000</f>
        <v>16.387499999999999</v>
      </c>
      <c r="D28" t="s">
        <v>74</v>
      </c>
    </row>
    <row r="29" spans="1:4" x14ac:dyDescent="0.25">
      <c r="A29" t="s">
        <v>62</v>
      </c>
      <c r="B29">
        <f>B28/3600*B14*B33</f>
        <v>4.6972749999999994E-2</v>
      </c>
      <c r="C29">
        <f>C28/3600*C14*C33</f>
        <v>7.7886145833333337E-2</v>
      </c>
      <c r="D29" t="s">
        <v>75</v>
      </c>
    </row>
    <row r="30" spans="1:4" x14ac:dyDescent="0.25">
      <c r="A30" t="s">
        <v>63</v>
      </c>
      <c r="B30">
        <f>B29*(1+B14*B33)/(B14*B33)</f>
        <v>4.958524999999999E-2</v>
      </c>
      <c r="C30">
        <f>C29*(1+C14*C33)/(C14*C33)</f>
        <v>8.2438229166666668E-2</v>
      </c>
      <c r="D30" t="s">
        <v>75</v>
      </c>
    </row>
    <row r="31" spans="1:4" x14ac:dyDescent="0.25">
      <c r="A31" t="s">
        <v>59</v>
      </c>
      <c r="B31">
        <f>(B9-B13)*B22*B30</f>
        <v>7.4592086731645955</v>
      </c>
      <c r="C31">
        <f>(C9-C13)*C22*C30</f>
        <v>16.236973843652699</v>
      </c>
      <c r="D31" t="s">
        <v>76</v>
      </c>
    </row>
    <row r="32" spans="1:4" x14ac:dyDescent="0.25">
      <c r="A32" t="s">
        <v>60</v>
      </c>
      <c r="B32">
        <f>B31*B18</f>
        <v>7.0862482395063653</v>
      </c>
      <c r="C32">
        <f>C31*C18</f>
        <v>15.425125151470063</v>
      </c>
      <c r="D32" t="s">
        <v>76</v>
      </c>
    </row>
    <row r="33" spans="1:4" x14ac:dyDescent="0.25">
      <c r="A33" t="s">
        <v>64</v>
      </c>
      <c r="B33">
        <v>14.5</v>
      </c>
      <c r="C33">
        <v>14.5</v>
      </c>
    </row>
    <row r="34" spans="1:4" x14ac:dyDescent="0.25">
      <c r="A34" t="s">
        <v>77</v>
      </c>
      <c r="B34" s="6">
        <f>B32/B22/B29</f>
        <v>150.85870508978857</v>
      </c>
      <c r="C34" s="6">
        <f>C32/C22/C29</f>
        <v>198.04709793289697</v>
      </c>
      <c r="D34" t="s">
        <v>78</v>
      </c>
    </row>
    <row r="35" spans="1:4" x14ac:dyDescent="0.25">
      <c r="A35" t="s">
        <v>79</v>
      </c>
      <c r="B35" s="6">
        <f>B36+B34</f>
        <v>450.8587050897886</v>
      </c>
      <c r="C35" s="6">
        <f>C36+C34</f>
        <v>498.04709793289697</v>
      </c>
      <c r="D35" t="s">
        <v>78</v>
      </c>
    </row>
    <row r="36" spans="1:4" x14ac:dyDescent="0.25">
      <c r="A36" t="s">
        <v>80</v>
      </c>
      <c r="B36">
        <v>300</v>
      </c>
      <c r="C36">
        <v>300</v>
      </c>
      <c r="D36" t="s">
        <v>78</v>
      </c>
    </row>
    <row r="37" spans="1:4" x14ac:dyDescent="0.25">
      <c r="A37" s="2" t="s">
        <v>82</v>
      </c>
      <c r="B37" s="7">
        <f>2*PI()*B7*B17/60</f>
        <v>4287.6666666666661</v>
      </c>
      <c r="C37" s="7">
        <f>2*PI()*C7*C17/60</f>
        <v>17698.5</v>
      </c>
      <c r="D37" s="2" t="s">
        <v>72</v>
      </c>
    </row>
    <row r="38" spans="1:4" x14ac:dyDescent="0.25">
      <c r="A38" s="3" t="s">
        <v>83</v>
      </c>
      <c r="B38" s="3">
        <f>B30*B22*(B13-300)</f>
        <v>22.0440150768354</v>
      </c>
      <c r="C38" s="3">
        <f>C30*C22*(C13-300)</f>
        <v>39.903460218847307</v>
      </c>
      <c r="D38" s="3" t="s">
        <v>76</v>
      </c>
    </row>
    <row r="39" spans="1:4" ht="15.75" thickBot="1" x14ac:dyDescent="0.3">
      <c r="A39" s="2" t="s">
        <v>84</v>
      </c>
      <c r="B39" s="3">
        <f>B28/3600*B4*1000</f>
        <v>112.33749999999999</v>
      </c>
      <c r="C39" s="3">
        <f>C28/3600*B4*1000</f>
        <v>195.73958333333331</v>
      </c>
      <c r="D39" s="2" t="s">
        <v>76</v>
      </c>
    </row>
    <row r="40" spans="1:4" ht="15.75" thickBot="1" x14ac:dyDescent="0.3">
      <c r="A40" s="2" t="s">
        <v>85</v>
      </c>
      <c r="B40" s="3">
        <f>B39-B38-(B24/1000)-(B37/1000)</f>
        <v>38.505818256497918</v>
      </c>
      <c r="C40" s="9">
        <f>C39-C38-(C24/1000)-(C37/1000)</f>
        <v>66.887623114486018</v>
      </c>
      <c r="D40" s="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Askisi_1</vt:lpstr>
      <vt:lpstr>Askisi_2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Tassos</dc:creator>
  <cp:lastModifiedBy>Tassos</cp:lastModifiedBy>
  <dcterms:created xsi:type="dcterms:W3CDTF">2019-06-12T06:27:20Z</dcterms:created>
  <dcterms:modified xsi:type="dcterms:W3CDTF">2019-06-12T08:22:01Z</dcterms:modified>
</cp:coreProperties>
</file>